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ventiaf_auburn_edu/Documents/Desktop/"/>
    </mc:Choice>
  </mc:AlternateContent>
  <xr:revisionPtr revIDLastSave="1" documentId="13_ncr:1_{4F70E99F-A004-416E-A20D-15DA9B7D61AC}" xr6:coauthVersionLast="47" xr6:coauthVersionMax="47" xr10:uidLastSave="{7ACBBA39-6194-4DAE-A13B-B16A071A8979}"/>
  <bookViews>
    <workbookView xWindow="-25545" yWindow="-20115" windowWidth="19440" windowHeight="14880" firstSheet="2" activeTab="2" xr2:uid="{00000000-000D-0000-FFFF-FFFF00000000}"/>
  </bookViews>
  <sheets>
    <sheet name="Salary Cap calc 12 mo " sheetId="1" r:id="rId1"/>
    <sheet name="Salary Cap calc 9 mo" sheetId="6" r:id="rId2"/>
    <sheet name="Summer salary cap" sheetId="3" r:id="rId3"/>
    <sheet name="Salary Cap calc w mandatory CS" sheetId="2" state="hidden" r:id="rId4"/>
    <sheet name="Salary cap - AMT PAID-9 mo" sheetId="8" r:id="rId5"/>
    <sheet name="Salary cap - AMT PAID-12 mo" sheetId="4" r:id="rId6"/>
    <sheet name="Sheet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8" l="1"/>
  <c r="B14" i="8"/>
  <c r="B16" i="8" s="1"/>
  <c r="B27" i="8" l="1"/>
  <c r="B31" i="8" s="1"/>
  <c r="B28" i="8" l="1"/>
  <c r="B32" i="8" s="1"/>
  <c r="C32" i="8" s="1"/>
  <c r="C31" i="8"/>
  <c r="B20" i="6"/>
  <c r="B13" i="6"/>
  <c r="B15" i="6" s="1"/>
  <c r="B33" i="8" l="1"/>
  <c r="C33" i="8" s="1"/>
  <c r="B22" i="6"/>
  <c r="B30" i="6" s="1"/>
  <c r="B21" i="4"/>
  <c r="B14" i="4"/>
  <c r="B25" i="4" l="1"/>
  <c r="B26" i="4" s="1"/>
  <c r="B30" i="4" s="1"/>
  <c r="C30" i="4" s="1"/>
  <c r="B31" i="6"/>
  <c r="B35" i="6"/>
  <c r="B18" i="3"/>
  <c r="B20" i="3" s="1"/>
  <c r="B23" i="3" s="1"/>
  <c r="B32" i="3" s="1"/>
  <c r="B13" i="3"/>
  <c r="B15" i="3" s="1"/>
  <c r="B28" i="2"/>
  <c r="B20" i="2"/>
  <c r="B16" i="2"/>
  <c r="B29" i="4" l="1"/>
  <c r="C29" i="4" s="1"/>
  <c r="B31" i="3"/>
  <c r="B33" i="3" s="1"/>
  <c r="B37" i="3" s="1"/>
  <c r="C37" i="3" s="1"/>
  <c r="B36" i="3"/>
  <c r="B38" i="2"/>
  <c r="B37" i="2"/>
  <c r="B33" i="2"/>
  <c r="B32" i="2"/>
  <c r="C38" i="2"/>
  <c r="B51" i="2"/>
  <c r="C51" i="2" s="1"/>
  <c r="B50" i="2"/>
  <c r="B46" i="2"/>
  <c r="B45" i="2"/>
  <c r="C35" i="6"/>
  <c r="B32" i="6"/>
  <c r="B36" i="6" s="1"/>
  <c r="B16" i="1"/>
  <c r="B12" i="1"/>
  <c r="C36" i="6" l="1"/>
  <c r="B31" i="4"/>
  <c r="C31" i="4" s="1"/>
  <c r="B38" i="3"/>
  <c r="B47" i="2"/>
  <c r="B52" i="2" s="1"/>
  <c r="C52" i="2" s="1"/>
  <c r="C36" i="3"/>
  <c r="C50" i="2"/>
  <c r="B53" i="2"/>
  <c r="C53" i="2" s="1"/>
  <c r="B37" i="6"/>
  <c r="C37" i="2"/>
  <c r="B23" i="1"/>
  <c r="B24" i="1"/>
  <c r="B34" i="2"/>
  <c r="B39" i="2" s="1"/>
  <c r="C39" i="2" s="1"/>
  <c r="C38" i="3"/>
  <c r="B28" i="1"/>
  <c r="C28" i="1" s="1"/>
  <c r="C37" i="6" l="1"/>
  <c r="B40" i="2"/>
  <c r="C40" i="2" s="1"/>
  <c r="B25" i="1"/>
  <c r="B29" i="1" s="1"/>
  <c r="C29" i="1" s="1"/>
  <c r="B30" i="1" l="1"/>
  <c r="C30" i="1" s="1"/>
</calcChain>
</file>

<file path=xl/sharedStrings.xml><?xml version="1.0" encoding="utf-8"?>
<sst xmlns="http://schemas.openxmlformats.org/spreadsheetml/2006/main" count="167" uniqueCount="69">
  <si>
    <t>STEP 1</t>
  </si>
  <si>
    <t>Months in a year</t>
  </si>
  <si>
    <t>Capped monthly salary (Salary cap/ 12 months)</t>
  </si>
  <si>
    <t>AU base salary (for period of appointment)</t>
  </si>
  <si>
    <t>Enter academic year salary</t>
  </si>
  <si>
    <t xml:space="preserve">Months in appointment </t>
  </si>
  <si>
    <t>Enter 9 if 9-month faculty and 12 if 12-month faculty</t>
  </si>
  <si>
    <t>AU monthly salary (AU salary / months in appointment)</t>
  </si>
  <si>
    <t>STEP 2</t>
  </si>
  <si>
    <t>Enter total effort here</t>
  </si>
  <si>
    <t>Salary over the cap (must be cost shared)</t>
  </si>
  <si>
    <t xml:space="preserve">  </t>
  </si>
  <si>
    <t>Distribution for ePAF</t>
  </si>
  <si>
    <t xml:space="preserve">**Note:  input cells are shaded blue.  </t>
  </si>
  <si>
    <t>Salary chargeable to project</t>
  </si>
  <si>
    <t>Total Salary Charge to project and cost share FOP</t>
  </si>
  <si>
    <t>For 9-month (or F9) faculty, enter 9 in Cell B16.</t>
  </si>
  <si>
    <t>For 12-month faculty/employees, enter 12 in Cell B16.</t>
  </si>
  <si>
    <t>For questions on applicability to sponsoring agencies, please see OSP or CGA websites for additional guidance.</t>
  </si>
  <si>
    <t>Enter AU paid effort here</t>
  </si>
  <si>
    <t>Enter sponsor paid effort here</t>
  </si>
  <si>
    <t>Salary chargeable to project cost share (salary over the cap)</t>
  </si>
  <si>
    <t>Salary Cap Calculation - with mandatory cost sharing outside of the cap</t>
  </si>
  <si>
    <t>Salary Cap Calculation - summer salary</t>
  </si>
  <si>
    <t xml:space="preserve">Academic year salary </t>
  </si>
  <si>
    <t>Summer salary</t>
  </si>
  <si>
    <t>Summer months</t>
  </si>
  <si>
    <t>This is a calculation example for determining the amount that can be charged to projects when there's a Salary Cap.</t>
  </si>
  <si>
    <t>This is a calculation example for determining the amount that can be charged to projects when there's a Salary Cap AND</t>
  </si>
  <si>
    <t>a mandatory cost sharing requirement that is independent of any cost share related to salary over the cap.</t>
  </si>
  <si>
    <t>Salary Cap Calculation - REVERSED - based on actual amount paid</t>
  </si>
  <si>
    <t>Calculated effort</t>
  </si>
  <si>
    <t>ACTUAL SALARY CHARGED TO PROJECT</t>
  </si>
  <si>
    <t>Distribution for ePAF or SWT</t>
  </si>
  <si>
    <t>Total monthly salary paid</t>
  </si>
  <si>
    <t>AU monthly salary (Summer salary / summer months)</t>
  </si>
  <si>
    <t>SEMI-MONTHLY</t>
  </si>
  <si>
    <t>Salary per pay F9 pay period (SEMI-MONTHLY)</t>
  </si>
  <si>
    <t>Capped salary per pay F9 pay period (SEMI-MONTHLY)</t>
  </si>
  <si>
    <t>Semi-monthly salary chargeable to project</t>
  </si>
  <si>
    <t>Semi-monthly salary chargeable to project cost share (salary over the cap)</t>
  </si>
  <si>
    <t>Total Semi-monthly Salary Charge to project and cost share FOP</t>
  </si>
  <si>
    <t>Salary Cap Calculation - F9 (semi-monthly) pay periods</t>
  </si>
  <si>
    <t>Salary chargeable to the over-the-cap cost share FOP</t>
  </si>
  <si>
    <r>
      <t xml:space="preserve">Salary chargeable to project </t>
    </r>
    <r>
      <rPr>
        <b/>
        <i/>
        <sz val="10"/>
        <rFont val="Calibri"/>
        <family val="2"/>
        <scheme val="minor"/>
      </rPr>
      <t xml:space="preserve">required </t>
    </r>
    <r>
      <rPr>
        <sz val="10"/>
        <rFont val="Calibri"/>
        <family val="2"/>
        <scheme val="minor"/>
      </rPr>
      <t>cost share FOP (AU monthly x cost share effort)</t>
    </r>
  </si>
  <si>
    <t>Each type of cost sharing (mandatory and over-the-cap cost share) require a separate FOP in Banner.</t>
  </si>
  <si>
    <t>Salary chargeable to project (capped monthly * direct charged effort %)</t>
  </si>
  <si>
    <t>Salary chargeable to project (AU monthly * direct charged effort %)</t>
  </si>
  <si>
    <t>Salary chargeable to project (capped monthly * sponsor paid effort %)</t>
  </si>
  <si>
    <t>Salary chargeable to project (AU monthly * sponsor paid effort %)</t>
  </si>
  <si>
    <t>Salary chargeable to project (capped semi-monthly * direct charged effort %)</t>
  </si>
  <si>
    <t>Salary chargeable to project per (AU semi-monthly * direct charged effort %)</t>
  </si>
  <si>
    <t>Salary Cap Calculation - 12-MONTH faculty/employees</t>
  </si>
  <si>
    <t>(assumes same FTE as academic year)</t>
  </si>
  <si>
    <t>SEMI-MONTHLY PAY PERIODS</t>
  </si>
  <si>
    <t>Summer Salary is paid on a semi-monthly basis.</t>
  </si>
  <si>
    <t>Capped salary per pay SF pay period (SEMI-MONTHLY)</t>
  </si>
  <si>
    <t>Salary per pay SF pay period (SEMI-MONTHLY)</t>
  </si>
  <si>
    <t>IF PAID ON A MONTHLY BASIS (12-MO APPOINTMENT)</t>
  </si>
  <si>
    <t>IF PAID ON A SEMI-MONTHLY BASIS (9-MO APPOINTMENT)</t>
  </si>
  <si>
    <t>Total project effort % during period</t>
  </si>
  <si>
    <t>Sponsor paid effort during period</t>
  </si>
  <si>
    <t>AU paid effort during period</t>
  </si>
  <si>
    <t>Total semi-monthly salary paid</t>
  </si>
  <si>
    <t>Use this calculator for 12-month faculty/employees</t>
  </si>
  <si>
    <t>Use this calculator for 9-month faculty</t>
  </si>
  <si>
    <t>*Effective 1/7/18</t>
  </si>
  <si>
    <t>Salary Cap (Updated every calendar year effective January)</t>
  </si>
  <si>
    <t>*Set by OPM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</si>
</sst>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name val="NewCenturySchlbk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NewCenturySchlbk"/>
    </font>
    <font>
      <b/>
      <sz val="11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NewCenturySchlbk"/>
    </font>
    <font>
      <b/>
      <i/>
      <sz val="10"/>
      <name val="Calibri"/>
      <family val="2"/>
      <scheme val="minor"/>
    </font>
    <font>
      <b/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44" fontId="6" fillId="0" borderId="0" xfId="1" applyFont="1"/>
    <xf numFmtId="0" fontId="13" fillId="0" borderId="0" xfId="0" quotePrefix="1" applyFont="1"/>
    <xf numFmtId="44" fontId="6" fillId="0" borderId="1" xfId="1" applyFont="1" applyBorder="1"/>
    <xf numFmtId="8" fontId="6" fillId="0" borderId="0" xfId="0" applyNumberFormat="1" applyFont="1"/>
    <xf numFmtId="44" fontId="6" fillId="0" borderId="1" xfId="0" applyNumberFormat="1" applyFont="1" applyBorder="1"/>
    <xf numFmtId="3" fontId="6" fillId="0" borderId="0" xfId="0" applyNumberFormat="1" applyFont="1"/>
    <xf numFmtId="0" fontId="14" fillId="0" borderId="0" xfId="0" applyFont="1"/>
    <xf numFmtId="9" fontId="6" fillId="0" borderId="0" xfId="0" applyNumberFormat="1" applyFont="1"/>
    <xf numFmtId="164" fontId="6" fillId="0" borderId="0" xfId="0" applyNumberFormat="1" applyFont="1"/>
    <xf numFmtId="0" fontId="10" fillId="0" borderId="0" xfId="0" applyFont="1" applyAlignment="1">
      <alignment horizontal="center"/>
    </xf>
    <xf numFmtId="165" fontId="10" fillId="0" borderId="0" xfId="2" applyNumberFormat="1" applyFont="1"/>
    <xf numFmtId="44" fontId="7" fillId="0" borderId="0" xfId="0" applyNumberFormat="1" applyFont="1"/>
    <xf numFmtId="44" fontId="6" fillId="0" borderId="0" xfId="1" applyFont="1" applyAlignment="1">
      <alignment horizontal="left" vertical="top"/>
    </xf>
    <xf numFmtId="0" fontId="7" fillId="0" borderId="0" xfId="3" applyFont="1"/>
    <xf numFmtId="0" fontId="15" fillId="0" borderId="0" xfId="3" applyFont="1"/>
    <xf numFmtId="165" fontId="15" fillId="0" borderId="0" xfId="4" applyNumberFormat="1" applyFont="1"/>
    <xf numFmtId="0" fontId="15" fillId="0" borderId="0" xfId="3" applyFont="1" applyAlignment="1">
      <alignment horizontal="center"/>
    </xf>
    <xf numFmtId="37" fontId="6" fillId="0" borderId="0" xfId="1" applyNumberFormat="1" applyFont="1"/>
    <xf numFmtId="9" fontId="6" fillId="0" borderId="1" xfId="0" applyNumberFormat="1" applyFont="1" applyBorder="1"/>
    <xf numFmtId="44" fontId="6" fillId="0" borderId="0" xfId="1" applyFont="1" applyFill="1"/>
    <xf numFmtId="10" fontId="6" fillId="0" borderId="0" xfId="0" applyNumberFormat="1" applyFont="1"/>
    <xf numFmtId="44" fontId="6" fillId="0" borderId="0" xfId="0" applyNumberFormat="1" applyFont="1"/>
    <xf numFmtId="44" fontId="6" fillId="0" borderId="0" xfId="1" applyFont="1" applyBorder="1"/>
    <xf numFmtId="0" fontId="6" fillId="0" borderId="3" xfId="0" applyFont="1" applyBorder="1"/>
    <xf numFmtId="0" fontId="6" fillId="0" borderId="4" xfId="0" applyFont="1" applyBorder="1"/>
    <xf numFmtId="44" fontId="6" fillId="0" borderId="0" xfId="1" applyFont="1" applyBorder="1" applyAlignment="1">
      <alignment horizontal="left" vertical="top"/>
    </xf>
    <xf numFmtId="0" fontId="10" fillId="0" borderId="4" xfId="0" applyFont="1" applyBorder="1" applyAlignment="1">
      <alignment horizontal="center"/>
    </xf>
    <xf numFmtId="165" fontId="10" fillId="0" borderId="4" xfId="2" applyNumberFormat="1" applyFont="1" applyBorder="1"/>
    <xf numFmtId="0" fontId="6" fillId="0" borderId="5" xfId="0" applyFont="1" applyBorder="1"/>
    <xf numFmtId="165" fontId="10" fillId="0" borderId="7" xfId="2" applyNumberFormat="1" applyFont="1" applyBorder="1"/>
    <xf numFmtId="44" fontId="6" fillId="0" borderId="0" xfId="1" applyFont="1" applyProtection="1"/>
    <xf numFmtId="37" fontId="6" fillId="0" borderId="0" xfId="1" applyNumberFormat="1" applyFont="1" applyProtection="1"/>
    <xf numFmtId="44" fontId="6" fillId="0" borderId="1" xfId="1" applyFont="1" applyBorder="1" applyProtection="1"/>
    <xf numFmtId="44" fontId="6" fillId="2" borderId="0" xfId="1" applyFont="1" applyFill="1" applyProtection="1">
      <protection locked="0"/>
    </xf>
    <xf numFmtId="3" fontId="6" fillId="2" borderId="0" xfId="0" applyNumberFormat="1" applyFont="1" applyFill="1" applyProtection="1">
      <protection locked="0"/>
    </xf>
    <xf numFmtId="9" fontId="6" fillId="2" borderId="0" xfId="0" applyNumberFormat="1" applyFont="1" applyFill="1" applyProtection="1">
      <protection locked="0"/>
    </xf>
    <xf numFmtId="9" fontId="6" fillId="3" borderId="0" xfId="0" applyNumberFormat="1" applyFont="1" applyFill="1" applyProtection="1">
      <protection locked="0"/>
    </xf>
    <xf numFmtId="44" fontId="6" fillId="2" borderId="1" xfId="0" applyNumberFormat="1" applyFont="1" applyFill="1" applyBorder="1" applyProtection="1">
      <protection locked="0"/>
    </xf>
    <xf numFmtId="165" fontId="6" fillId="0" borderId="0" xfId="0" applyNumberFormat="1" applyFont="1"/>
    <xf numFmtId="0" fontId="10" fillId="0" borderId="0" xfId="0" applyFont="1"/>
    <xf numFmtId="165" fontId="10" fillId="0" borderId="0" xfId="2" applyNumberFormat="1" applyFont="1" applyBorder="1"/>
    <xf numFmtId="44" fontId="6" fillId="0" borderId="2" xfId="1" applyFont="1" applyBorder="1"/>
    <xf numFmtId="0" fontId="6" fillId="0" borderId="8" xfId="0" applyFont="1" applyBorder="1"/>
    <xf numFmtId="0" fontId="6" fillId="0" borderId="7" xfId="0" applyFont="1" applyBorder="1"/>
    <xf numFmtId="0" fontId="10" fillId="4" borderId="9" xfId="0" applyFont="1" applyFill="1" applyBorder="1"/>
    <xf numFmtId="164" fontId="6" fillId="4" borderId="6" xfId="0" applyNumberFormat="1" applyFont="1" applyFill="1" applyBorder="1"/>
    <xf numFmtId="0" fontId="6" fillId="4" borderId="10" xfId="0" applyFont="1" applyFill="1" applyBorder="1"/>
    <xf numFmtId="0" fontId="17" fillId="0" borderId="0" xfId="0" applyFont="1"/>
    <xf numFmtId="37" fontId="6" fillId="0" borderId="0" xfId="1" applyNumberFormat="1" applyFont="1" applyFill="1" applyProtection="1"/>
    <xf numFmtId="44" fontId="15" fillId="0" borderId="0" xfId="3" applyNumberFormat="1" applyFont="1"/>
  </cellXfs>
  <cellStyles count="7">
    <cellStyle name="Comma 2" xfId="5" xr:uid="{00000000-0005-0000-0000-000000000000}"/>
    <cellStyle name="Currency" xfId="1" builtinId="4"/>
    <cellStyle name="Currency 2" xfId="6" xr:uid="{00000000-0005-0000-0000-000002000000}"/>
    <cellStyle name="Normal" xfId="0" builtinId="0"/>
    <cellStyle name="Normal 2" xfId="3" xr:uid="{00000000-0005-0000-0000-000004000000}"/>
    <cellStyle name="Percent" xfId="2" builtinId="5"/>
    <cellStyle name="Percent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workbookViewId="0">
      <selection activeCell="B20" sqref="B20"/>
    </sheetView>
  </sheetViews>
  <sheetFormatPr defaultRowHeight="15"/>
  <cols>
    <col min="1" max="1" width="57.85546875" customWidth="1"/>
    <col min="2" max="2" width="12" bestFit="1" customWidth="1"/>
    <col min="3" max="3" width="17.5703125" customWidth="1"/>
  </cols>
  <sheetData>
    <row r="1" spans="1:4" ht="21">
      <c r="A1" s="1" t="s">
        <v>52</v>
      </c>
      <c r="B1" s="2"/>
      <c r="C1" s="2"/>
      <c r="D1" s="3"/>
    </row>
    <row r="2" spans="1:4">
      <c r="A2" s="4" t="s">
        <v>27</v>
      </c>
      <c r="B2" s="5"/>
      <c r="C2" s="5"/>
      <c r="D2" s="6"/>
    </row>
    <row r="3" spans="1:4">
      <c r="A3" s="4" t="s">
        <v>18</v>
      </c>
      <c r="B3" s="5"/>
      <c r="C3" s="5"/>
      <c r="D3" s="6"/>
    </row>
    <row r="4" spans="1:4">
      <c r="A4" s="4"/>
      <c r="B4" s="5"/>
      <c r="C4" s="5"/>
      <c r="D4" s="6"/>
    </row>
    <row r="5" spans="1:4">
      <c r="A5" s="8" t="s">
        <v>13</v>
      </c>
      <c r="B5" s="5"/>
      <c r="C5" s="5"/>
      <c r="D5" s="6"/>
    </row>
    <row r="6" spans="1:4">
      <c r="A6" s="7"/>
      <c r="B6" s="5"/>
      <c r="C6" s="5"/>
      <c r="D6" s="6"/>
    </row>
    <row r="7" spans="1:4">
      <c r="A7" s="4"/>
      <c r="B7" s="5"/>
      <c r="C7" s="5"/>
      <c r="D7" s="6"/>
    </row>
    <row r="8" spans="1:4">
      <c r="A8" s="7"/>
      <c r="B8" s="9"/>
      <c r="C8" s="5"/>
      <c r="D8" s="6"/>
    </row>
    <row r="9" spans="1:4" ht="15.75">
      <c r="A9" s="10" t="s">
        <v>0</v>
      </c>
      <c r="B9" s="5"/>
      <c r="C9" s="5"/>
    </row>
    <row r="10" spans="1:4">
      <c r="A10" s="5" t="s">
        <v>67</v>
      </c>
      <c r="B10" s="41">
        <v>228000</v>
      </c>
      <c r="C10" s="12" t="s">
        <v>68</v>
      </c>
    </row>
    <row r="11" spans="1:4">
      <c r="A11" s="5" t="s">
        <v>1</v>
      </c>
      <c r="B11" s="42">
        <v>12</v>
      </c>
      <c r="C11" s="5"/>
    </row>
    <row r="12" spans="1:4" ht="15.75" thickBot="1">
      <c r="A12" s="5" t="s">
        <v>2</v>
      </c>
      <c r="B12" s="43">
        <f>B10/12</f>
        <v>19000</v>
      </c>
      <c r="C12" s="5"/>
    </row>
    <row r="13" spans="1:4" ht="15.75" thickTop="1">
      <c r="A13" s="5"/>
      <c r="B13" s="14"/>
      <c r="C13" s="5"/>
    </row>
    <row r="14" spans="1:4">
      <c r="A14" s="5" t="s">
        <v>3</v>
      </c>
      <c r="B14" s="44">
        <v>230000</v>
      </c>
      <c r="C14" s="5" t="s">
        <v>4</v>
      </c>
    </row>
    <row r="15" spans="1:4">
      <c r="A15" s="5" t="s">
        <v>5</v>
      </c>
      <c r="B15" s="59">
        <v>12</v>
      </c>
      <c r="C15" s="5"/>
    </row>
    <row r="16" spans="1:4" ht="15.75" thickBot="1">
      <c r="A16" s="5" t="s">
        <v>7</v>
      </c>
      <c r="B16" s="15">
        <f>B14/B15</f>
        <v>19166.666666666668</v>
      </c>
      <c r="C16" s="5"/>
    </row>
    <row r="17" spans="1:7" ht="15.75" thickTop="1">
      <c r="A17" s="5"/>
      <c r="B17" s="16"/>
      <c r="C17" s="5"/>
    </row>
    <row r="18" spans="1:7">
      <c r="A18" s="5"/>
      <c r="B18" s="16"/>
      <c r="C18" s="5"/>
    </row>
    <row r="19" spans="1:7" ht="15.75">
      <c r="A19" s="10" t="s">
        <v>8</v>
      </c>
      <c r="B19" s="16"/>
      <c r="C19" s="5"/>
    </row>
    <row r="20" spans="1:7">
      <c r="A20" s="5" t="s">
        <v>60</v>
      </c>
      <c r="B20" s="46">
        <v>0.2</v>
      </c>
      <c r="C20" s="5" t="s">
        <v>9</v>
      </c>
      <c r="F20" s="25"/>
      <c r="G20" s="24"/>
    </row>
    <row r="21" spans="1:7">
      <c r="A21" s="5"/>
      <c r="B21" s="18"/>
      <c r="C21" s="5"/>
      <c r="F21" s="24"/>
      <c r="G21" s="24"/>
    </row>
    <row r="22" spans="1:7">
      <c r="A22" s="5"/>
      <c r="B22" s="19"/>
      <c r="C22" s="5"/>
      <c r="F22" s="24"/>
      <c r="G22" s="24"/>
    </row>
    <row r="23" spans="1:7">
      <c r="A23" s="5" t="s">
        <v>46</v>
      </c>
      <c r="B23" s="11">
        <f>IF($B$16&gt;$B$12,$B$12*$B$20,$B$16*$B$20)</f>
        <v>3800</v>
      </c>
      <c r="C23" s="5"/>
      <c r="F23" s="24"/>
      <c r="G23" s="24"/>
    </row>
    <row r="24" spans="1:7">
      <c r="A24" s="5" t="s">
        <v>47</v>
      </c>
      <c r="B24" s="11">
        <f>($B$16*$B$20)</f>
        <v>3833.3333333333339</v>
      </c>
      <c r="C24" s="5"/>
      <c r="F24" s="24"/>
      <c r="G24" s="24"/>
    </row>
    <row r="25" spans="1:7" ht="15.75" thickBot="1">
      <c r="A25" s="5" t="s">
        <v>10</v>
      </c>
      <c r="B25" s="13">
        <f>B24-B23</f>
        <v>33.33333333333394</v>
      </c>
      <c r="C25" s="5"/>
      <c r="F25" s="24"/>
      <c r="G25" s="24"/>
    </row>
    <row r="26" spans="1:7" ht="15.75" thickTop="1">
      <c r="A26" s="5"/>
      <c r="B26" s="11"/>
      <c r="C26" s="5"/>
      <c r="F26" s="24"/>
      <c r="G26" s="24"/>
    </row>
    <row r="27" spans="1:7">
      <c r="A27" s="5"/>
      <c r="B27" s="23"/>
      <c r="C27" s="20" t="s">
        <v>12</v>
      </c>
      <c r="F27" s="24"/>
      <c r="G27" s="24"/>
    </row>
    <row r="28" spans="1:7">
      <c r="A28" s="5" t="s">
        <v>14</v>
      </c>
      <c r="B28" s="11">
        <f>IF($B$16&gt;$B$12,$B$12*$B$20,$B$16*$B$20)</f>
        <v>3800</v>
      </c>
      <c r="C28" s="21">
        <f>B28/B16</f>
        <v>0.19826086956521738</v>
      </c>
      <c r="F28" s="24"/>
      <c r="G28" s="27"/>
    </row>
    <row r="29" spans="1:7">
      <c r="A29" s="5" t="s">
        <v>21</v>
      </c>
      <c r="B29" s="11">
        <f>+B25</f>
        <v>33.33333333333394</v>
      </c>
      <c r="C29" s="21">
        <f>B29/B16</f>
        <v>1.7391304347826402E-3</v>
      </c>
      <c r="F29" s="24"/>
      <c r="G29" s="26"/>
    </row>
    <row r="30" spans="1:7" ht="15.75" thickBot="1">
      <c r="A30" s="5" t="s">
        <v>15</v>
      </c>
      <c r="B30" s="13">
        <f>SUM(B28:B29)</f>
        <v>3833.3333333333339</v>
      </c>
      <c r="C30" s="21">
        <f>B30/B16</f>
        <v>0.2</v>
      </c>
      <c r="F30" s="24"/>
      <c r="G30" s="26"/>
    </row>
    <row r="31" spans="1:7" ht="15.75" thickTop="1">
      <c r="A31" s="5"/>
      <c r="B31" s="5"/>
      <c r="C31" s="5"/>
      <c r="D31" s="22" t="s">
        <v>11</v>
      </c>
      <c r="F31" s="24"/>
      <c r="G31" s="26"/>
    </row>
  </sheetData>
  <sheetProtection algorithmName="SHA-512" hashValue="z906b7frPZEt0TL9r7Jp2wDDBwFbUDLYrzxnxfzaYQi7aN7p3vOZVC6xDw9QPk/31qRJ6DygxIJZDTOVNjFc4w==" saltValue="kXgLFQdcwUtYVZkKww1XKQ==" spinCount="100000" sheet="1" selectLockedCells="1"/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workbookViewId="0">
      <selection activeCell="B18" sqref="B18"/>
    </sheetView>
  </sheetViews>
  <sheetFormatPr defaultRowHeight="15"/>
  <cols>
    <col min="1" max="1" width="62" customWidth="1"/>
    <col min="2" max="2" width="12" bestFit="1" customWidth="1"/>
    <col min="3" max="3" width="17.5703125" customWidth="1"/>
    <col min="6" max="6" width="12" bestFit="1" customWidth="1"/>
  </cols>
  <sheetData>
    <row r="1" spans="1:4" ht="21">
      <c r="A1" s="1" t="s">
        <v>42</v>
      </c>
      <c r="B1" s="2"/>
      <c r="C1" s="2"/>
      <c r="D1" s="3"/>
    </row>
    <row r="2" spans="1:4">
      <c r="A2" s="4" t="s">
        <v>27</v>
      </c>
      <c r="B2" s="5"/>
      <c r="C2" s="5"/>
      <c r="D2" s="6"/>
    </row>
    <row r="3" spans="1:4">
      <c r="A3" s="4" t="s">
        <v>18</v>
      </c>
      <c r="B3" s="5"/>
      <c r="C3" s="5"/>
      <c r="D3" s="6"/>
    </row>
    <row r="4" spans="1:4">
      <c r="A4" s="4"/>
      <c r="B4" s="5"/>
      <c r="C4" s="5"/>
      <c r="D4" s="6"/>
    </row>
    <row r="5" spans="1:4">
      <c r="A5" s="8" t="s">
        <v>13</v>
      </c>
      <c r="B5" s="5"/>
      <c r="C5" s="5"/>
      <c r="D5" s="6"/>
    </row>
    <row r="6" spans="1:4">
      <c r="A6" s="7"/>
      <c r="B6" s="5"/>
      <c r="C6" s="5"/>
      <c r="D6" s="6"/>
    </row>
    <row r="7" spans="1:4">
      <c r="A7" s="7"/>
      <c r="B7" s="5"/>
      <c r="C7" s="5"/>
      <c r="D7" s="6"/>
    </row>
    <row r="8" spans="1:4">
      <c r="A8" s="4"/>
      <c r="B8" s="5"/>
      <c r="C8" s="5"/>
      <c r="D8" s="6"/>
    </row>
    <row r="9" spans="1:4">
      <c r="A9" s="7"/>
      <c r="B9" s="9"/>
      <c r="C9" s="5"/>
      <c r="D9" s="6"/>
    </row>
    <row r="10" spans="1:4" ht="15.75">
      <c r="A10" s="10" t="s">
        <v>0</v>
      </c>
      <c r="B10" s="5"/>
      <c r="C10" s="5"/>
    </row>
    <row r="11" spans="1:4">
      <c r="A11" s="5" t="s">
        <v>67</v>
      </c>
      <c r="B11" s="41">
        <v>228000</v>
      </c>
      <c r="C11" s="12" t="s">
        <v>68</v>
      </c>
    </row>
    <row r="12" spans="1:4">
      <c r="A12" s="5" t="s">
        <v>1</v>
      </c>
      <c r="B12" s="28">
        <v>12</v>
      </c>
      <c r="C12" s="5"/>
    </row>
    <row r="13" spans="1:4" ht="15.75" thickBot="1">
      <c r="A13" s="5" t="s">
        <v>2</v>
      </c>
      <c r="B13" s="13">
        <f>B11/12</f>
        <v>19000</v>
      </c>
      <c r="C13" s="5"/>
    </row>
    <row r="14" spans="1:4" ht="15.75" thickTop="1">
      <c r="A14" s="5"/>
      <c r="B14" s="33"/>
      <c r="C14" s="5"/>
    </row>
    <row r="15" spans="1:4" ht="15.75" thickBot="1">
      <c r="A15" s="5" t="s">
        <v>38</v>
      </c>
      <c r="B15" s="13">
        <f>+B13*0.5</f>
        <v>9500</v>
      </c>
      <c r="C15" s="5"/>
    </row>
    <row r="16" spans="1:4" ht="15.75" thickTop="1">
      <c r="A16" s="5"/>
      <c r="B16" s="33"/>
      <c r="C16" s="5"/>
    </row>
    <row r="17" spans="1:7">
      <c r="A17" s="5"/>
      <c r="B17" s="14"/>
      <c r="C17" s="5"/>
    </row>
    <row r="18" spans="1:7">
      <c r="A18" s="5" t="s">
        <v>3</v>
      </c>
      <c r="B18" s="44">
        <v>230000</v>
      </c>
      <c r="C18" s="5" t="s">
        <v>4</v>
      </c>
    </row>
    <row r="19" spans="1:7">
      <c r="A19" s="5" t="s">
        <v>5</v>
      </c>
      <c r="B19" s="28">
        <v>9</v>
      </c>
      <c r="C19" s="5"/>
    </row>
    <row r="20" spans="1:7" ht="15.75" thickBot="1">
      <c r="A20" s="5" t="s">
        <v>7</v>
      </c>
      <c r="B20" s="15">
        <f>B18/B19</f>
        <v>25555.555555555555</v>
      </c>
      <c r="C20" s="5"/>
    </row>
    <row r="21" spans="1:7" ht="15.75" thickTop="1">
      <c r="A21" s="5"/>
      <c r="B21" s="32"/>
      <c r="C21" s="5"/>
    </row>
    <row r="22" spans="1:7" ht="15.75" thickBot="1">
      <c r="A22" s="5" t="s">
        <v>37</v>
      </c>
      <c r="B22" s="13">
        <f>+B20*0.5</f>
        <v>12777.777777777777</v>
      </c>
      <c r="C22" s="5"/>
    </row>
    <row r="23" spans="1:7" ht="15.75" thickTop="1">
      <c r="A23" s="17"/>
      <c r="B23" s="16"/>
      <c r="C23" s="5"/>
    </row>
    <row r="24" spans="1:7">
      <c r="A24" s="17"/>
      <c r="B24" s="16"/>
      <c r="C24" s="5"/>
    </row>
    <row r="25" spans="1:7">
      <c r="A25" s="5"/>
      <c r="B25" s="16"/>
      <c r="C25" s="5"/>
    </row>
    <row r="26" spans="1:7" ht="15.75">
      <c r="A26" s="10" t="s">
        <v>8</v>
      </c>
      <c r="B26" s="16"/>
      <c r="C26" s="5"/>
    </row>
    <row r="27" spans="1:7">
      <c r="A27" s="5" t="s">
        <v>60</v>
      </c>
      <c r="B27" s="46">
        <v>0.2</v>
      </c>
      <c r="C27" s="5" t="s">
        <v>9</v>
      </c>
      <c r="F27" s="60"/>
      <c r="G27" s="24"/>
    </row>
    <row r="28" spans="1:7">
      <c r="A28" s="5"/>
      <c r="B28" s="18"/>
      <c r="C28" s="5"/>
      <c r="F28" s="24"/>
      <c r="G28" s="24"/>
    </row>
    <row r="29" spans="1:7">
      <c r="A29" s="50" t="s">
        <v>36</v>
      </c>
      <c r="B29" s="19"/>
      <c r="C29" s="5"/>
    </row>
    <row r="30" spans="1:7">
      <c r="A30" s="5" t="s">
        <v>50</v>
      </c>
      <c r="B30" s="33">
        <f>IF($B$22&gt;$B$15,$B$15*$B$27,$B$22*$B$27)</f>
        <v>1900</v>
      </c>
      <c r="C30" s="5"/>
    </row>
    <row r="31" spans="1:7">
      <c r="A31" s="5" t="s">
        <v>51</v>
      </c>
      <c r="B31" s="33">
        <f>($B$22*$B$27)</f>
        <v>2555.5555555555557</v>
      </c>
      <c r="C31" s="5"/>
    </row>
    <row r="32" spans="1:7" ht="15.75" thickBot="1">
      <c r="A32" s="5" t="s">
        <v>10</v>
      </c>
      <c r="B32" s="13">
        <f>B31-B30</f>
        <v>655.55555555555566</v>
      </c>
      <c r="C32" s="5"/>
    </row>
    <row r="33" spans="1:3" ht="15.75" thickTop="1">
      <c r="A33" s="5"/>
      <c r="B33" s="33"/>
      <c r="C33" s="5"/>
    </row>
    <row r="34" spans="1:3">
      <c r="A34" s="50" t="s">
        <v>36</v>
      </c>
      <c r="B34" s="36"/>
      <c r="C34" s="20" t="s">
        <v>12</v>
      </c>
    </row>
    <row r="35" spans="1:3">
      <c r="A35" s="5" t="s">
        <v>39</v>
      </c>
      <c r="B35" s="33">
        <f>IF($B$22&gt;$B$15,$B$15*$B$27,$B$22*$B$27)</f>
        <v>1900</v>
      </c>
      <c r="C35" s="51">
        <f>$B$35/$B$22</f>
        <v>0.14869565217391303</v>
      </c>
    </row>
    <row r="36" spans="1:3">
      <c r="A36" s="5" t="s">
        <v>40</v>
      </c>
      <c r="B36" s="33">
        <f>+B32</f>
        <v>655.55555555555566</v>
      </c>
      <c r="C36" s="51">
        <f>$B$36/$B$22</f>
        <v>5.1304347826086963E-2</v>
      </c>
    </row>
    <row r="37" spans="1:3">
      <c r="A37" s="5" t="s">
        <v>41</v>
      </c>
      <c r="B37" s="52">
        <f>SUM(B35:B36)</f>
        <v>2555.5555555555557</v>
      </c>
      <c r="C37" s="51">
        <f>$B$37/$B$22</f>
        <v>0.2</v>
      </c>
    </row>
  </sheetData>
  <sheetProtection algorithmName="SHA-512" hashValue="EpJL7HRc0gtTyGVd0RQDjCkrcU/FWD47+/PeGfmM8/0C7DG38LWwhs9IzT3v1twNKNv90aqWqbWPJtGxlHQdbA==" saltValue="I1gLlkQkbkt9RBo8h6UQuQ==" spinCount="100000" sheet="1" selectLockedCells="1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tabSelected="1" topLeftCell="A7" workbookViewId="0">
      <selection activeCell="B17" sqref="B17"/>
    </sheetView>
  </sheetViews>
  <sheetFormatPr defaultRowHeight="15"/>
  <cols>
    <col min="1" max="1" width="66.5703125" customWidth="1"/>
    <col min="2" max="2" width="12" bestFit="1" customWidth="1"/>
    <col min="3" max="3" width="17.5703125" customWidth="1"/>
  </cols>
  <sheetData>
    <row r="1" spans="1:4" ht="21">
      <c r="A1" s="1" t="s">
        <v>23</v>
      </c>
      <c r="B1" s="2"/>
      <c r="C1" s="2"/>
      <c r="D1" s="3"/>
    </row>
    <row r="2" spans="1:4">
      <c r="A2" s="4" t="s">
        <v>27</v>
      </c>
      <c r="B2" s="5"/>
      <c r="C2" s="5"/>
      <c r="D2" s="6"/>
    </row>
    <row r="3" spans="1:4">
      <c r="A3" s="4" t="s">
        <v>18</v>
      </c>
      <c r="B3" s="5"/>
      <c r="C3" s="5"/>
      <c r="D3" s="6"/>
    </row>
    <row r="4" spans="1:4">
      <c r="A4" s="17" t="s">
        <v>55</v>
      </c>
      <c r="B4" s="5"/>
      <c r="C4" s="5"/>
      <c r="D4" s="6"/>
    </row>
    <row r="5" spans="1:4">
      <c r="A5" s="4"/>
      <c r="B5" s="5"/>
      <c r="C5" s="5"/>
      <c r="D5" s="6"/>
    </row>
    <row r="6" spans="1:4">
      <c r="A6" s="8" t="s">
        <v>13</v>
      </c>
      <c r="B6" s="5"/>
      <c r="C6" s="5"/>
      <c r="D6" s="6"/>
    </row>
    <row r="7" spans="1:4">
      <c r="A7" s="7"/>
      <c r="B7" s="5"/>
      <c r="C7" s="5"/>
      <c r="D7" s="6"/>
    </row>
    <row r="8" spans="1:4">
      <c r="A8" s="7"/>
      <c r="B8" s="9"/>
      <c r="C8" s="5"/>
      <c r="D8" s="6"/>
    </row>
    <row r="9" spans="1:4">
      <c r="A9" s="7"/>
      <c r="B9" s="9"/>
      <c r="C9" s="5"/>
      <c r="D9" s="6"/>
    </row>
    <row r="10" spans="1:4" ht="15.75">
      <c r="A10" s="10" t="s">
        <v>0</v>
      </c>
      <c r="B10" s="5"/>
      <c r="C10" s="5"/>
    </row>
    <row r="11" spans="1:4">
      <c r="A11" s="5" t="s">
        <v>67</v>
      </c>
      <c r="B11" s="41">
        <v>228000</v>
      </c>
      <c r="C11" s="12" t="s">
        <v>68</v>
      </c>
    </row>
    <row r="12" spans="1:4">
      <c r="A12" s="5" t="s">
        <v>1</v>
      </c>
      <c r="B12" s="28">
        <v>12</v>
      </c>
      <c r="C12" s="5"/>
    </row>
    <row r="13" spans="1:4" ht="15.75" thickBot="1">
      <c r="A13" s="5" t="s">
        <v>2</v>
      </c>
      <c r="B13" s="13">
        <f>B11/12</f>
        <v>19000</v>
      </c>
      <c r="C13" s="5"/>
    </row>
    <row r="14" spans="1:4" ht="15.75" thickTop="1">
      <c r="A14" s="5"/>
      <c r="B14" s="33"/>
      <c r="C14" s="5"/>
    </row>
    <row r="15" spans="1:4" ht="15.75" thickBot="1">
      <c r="A15" s="5" t="s">
        <v>56</v>
      </c>
      <c r="B15" s="13">
        <f>+B13*0.5</f>
        <v>9500</v>
      </c>
      <c r="C15" s="5"/>
    </row>
    <row r="16" spans="1:4" ht="15.75" thickTop="1">
      <c r="A16" s="5"/>
      <c r="B16" s="14"/>
      <c r="C16" s="5"/>
    </row>
    <row r="17" spans="1:7">
      <c r="A17" s="5" t="s">
        <v>24</v>
      </c>
      <c r="B17" s="44">
        <v>230000</v>
      </c>
      <c r="C17" s="5" t="s">
        <v>4</v>
      </c>
    </row>
    <row r="18" spans="1:7">
      <c r="A18" s="5" t="s">
        <v>25</v>
      </c>
      <c r="B18" s="30">
        <f>+B17/9*3</f>
        <v>76666.666666666657</v>
      </c>
      <c r="C18" s="5" t="s">
        <v>53</v>
      </c>
    </row>
    <row r="19" spans="1:7">
      <c r="A19" s="5" t="s">
        <v>26</v>
      </c>
      <c r="B19" s="16">
        <v>3</v>
      </c>
      <c r="C19" s="5"/>
    </row>
    <row r="20" spans="1:7" ht="15.75" thickBot="1">
      <c r="A20" s="5" t="s">
        <v>35</v>
      </c>
      <c r="B20" s="15">
        <f>B18/B19</f>
        <v>25555.555555555551</v>
      </c>
      <c r="C20" s="5"/>
    </row>
    <row r="21" spans="1:7" ht="15.75" thickTop="1">
      <c r="A21" s="5"/>
      <c r="B21" s="16"/>
      <c r="C21" s="5"/>
    </row>
    <row r="22" spans="1:7">
      <c r="A22" s="5"/>
      <c r="B22" s="16"/>
      <c r="C22" s="5"/>
    </row>
    <row r="23" spans="1:7" ht="15.75" thickBot="1">
      <c r="A23" s="5" t="s">
        <v>57</v>
      </c>
      <c r="B23" s="13">
        <f>+B20*0.5</f>
        <v>12777.777777777776</v>
      </c>
      <c r="C23" s="5"/>
    </row>
    <row r="24" spans="1:7" ht="15.75" thickTop="1">
      <c r="A24" s="5"/>
      <c r="B24" s="33"/>
      <c r="C24" s="5"/>
    </row>
    <row r="25" spans="1:7">
      <c r="A25" s="17"/>
      <c r="B25" s="16"/>
      <c r="C25" s="5"/>
    </row>
    <row r="26" spans="1:7">
      <c r="A26" s="5"/>
      <c r="B26" s="16"/>
      <c r="C26" s="5"/>
    </row>
    <row r="27" spans="1:7" ht="15.75">
      <c r="A27" s="10" t="s">
        <v>8</v>
      </c>
      <c r="B27" s="16"/>
      <c r="C27" s="5"/>
    </row>
    <row r="28" spans="1:7">
      <c r="A28" s="5" t="s">
        <v>60</v>
      </c>
      <c r="B28" s="46">
        <v>0.2</v>
      </c>
      <c r="C28" s="5" t="s">
        <v>9</v>
      </c>
      <c r="F28" s="25"/>
      <c r="G28" s="24"/>
    </row>
    <row r="29" spans="1:7">
      <c r="A29" s="5"/>
      <c r="B29" s="18"/>
      <c r="C29" s="5"/>
      <c r="F29" s="24"/>
      <c r="G29" s="24"/>
    </row>
    <row r="30" spans="1:7">
      <c r="A30" s="50" t="s">
        <v>54</v>
      </c>
      <c r="B30" s="19"/>
      <c r="C30" s="5"/>
      <c r="F30" s="24"/>
      <c r="G30" s="24"/>
    </row>
    <row r="31" spans="1:7">
      <c r="A31" s="5" t="s">
        <v>46</v>
      </c>
      <c r="B31" s="33">
        <f>IF($B$23&gt;$B$15,$B$15*$B$28,$B$22*$B$27)</f>
        <v>1900</v>
      </c>
      <c r="C31" s="5"/>
      <c r="F31" s="24"/>
      <c r="G31" s="24"/>
    </row>
    <row r="32" spans="1:7">
      <c r="A32" s="5" t="s">
        <v>47</v>
      </c>
      <c r="B32" s="33">
        <f>($B$23*$B$28)</f>
        <v>2555.5555555555552</v>
      </c>
      <c r="C32" s="5"/>
      <c r="F32" s="24"/>
      <c r="G32" s="24"/>
    </row>
    <row r="33" spans="1:7" ht="15.75" thickBot="1">
      <c r="A33" s="5" t="s">
        <v>10</v>
      </c>
      <c r="B33" s="13">
        <f>B32-B31</f>
        <v>655.5555555555552</v>
      </c>
      <c r="C33" s="5"/>
      <c r="F33" s="24"/>
      <c r="G33" s="24"/>
    </row>
    <row r="34" spans="1:7" ht="15.75" thickTop="1">
      <c r="A34" s="5"/>
      <c r="B34" s="33"/>
      <c r="C34" s="5"/>
      <c r="F34" s="24"/>
      <c r="G34" s="24"/>
    </row>
    <row r="35" spans="1:7">
      <c r="A35" s="5"/>
      <c r="B35" s="36"/>
      <c r="C35" s="20" t="s">
        <v>12</v>
      </c>
      <c r="F35" s="24"/>
      <c r="G35" s="24"/>
    </row>
    <row r="36" spans="1:7">
      <c r="A36" s="5" t="s">
        <v>14</v>
      </c>
      <c r="B36" s="33">
        <f>IF($B$23&gt;$B$15,$B$15*$B$28,$B$22*$B$27)</f>
        <v>1900</v>
      </c>
      <c r="C36" s="21">
        <f>B36/B20</f>
        <v>7.4347826086956531E-2</v>
      </c>
      <c r="F36" s="24"/>
      <c r="G36" s="27"/>
    </row>
    <row r="37" spans="1:7">
      <c r="A37" s="5" t="s">
        <v>21</v>
      </c>
      <c r="B37" s="33">
        <f>+B33</f>
        <v>655.5555555555552</v>
      </c>
      <c r="C37" s="21">
        <f>B37/B20</f>
        <v>2.5652173913043468E-2</v>
      </c>
      <c r="F37" s="24"/>
      <c r="G37" s="26"/>
    </row>
    <row r="38" spans="1:7">
      <c r="A38" s="5" t="s">
        <v>15</v>
      </c>
      <c r="B38" s="52">
        <f>SUM(B36:B37)</f>
        <v>2555.5555555555552</v>
      </c>
      <c r="C38" s="21">
        <f>B38/B20</f>
        <v>0.1</v>
      </c>
      <c r="F38" s="24"/>
      <c r="G38" s="26"/>
    </row>
    <row r="39" spans="1:7">
      <c r="A39" s="5"/>
      <c r="B39" s="5"/>
      <c r="C39" s="5"/>
      <c r="D39" s="22" t="s">
        <v>11</v>
      </c>
      <c r="F39" s="24"/>
      <c r="G39" s="26"/>
    </row>
  </sheetData>
  <sheetProtection algorithmName="SHA-512" hashValue="9cnaAAcpS5Qf6/e0qjnjEQj+e7ZJVqpkVv1kNfCbJv0I+dSguNj0mK7GZRfkzqdS98M2uCQWy+Lc0M0VjcFrQA==" saltValue="427TDymQ33GPtJnntjVrQQ==" spinCount="100000" sheet="1" selectLockedCells="1"/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4"/>
  <sheetViews>
    <sheetView topLeftCell="A13" workbookViewId="0">
      <selection activeCell="B32" sqref="B32"/>
    </sheetView>
  </sheetViews>
  <sheetFormatPr defaultRowHeight="15"/>
  <cols>
    <col min="1" max="1" width="80.140625" customWidth="1"/>
    <col min="2" max="2" width="12" bestFit="1" customWidth="1"/>
    <col min="3" max="3" width="17.5703125" customWidth="1"/>
  </cols>
  <sheetData>
    <row r="1" spans="1:4" ht="21">
      <c r="A1" s="1" t="s">
        <v>22</v>
      </c>
      <c r="B1" s="2"/>
      <c r="C1" s="2"/>
      <c r="D1" s="3"/>
    </row>
    <row r="2" spans="1:4">
      <c r="A2" s="4" t="s">
        <v>28</v>
      </c>
      <c r="B2" s="5"/>
      <c r="C2" s="5"/>
      <c r="D2" s="6"/>
    </row>
    <row r="3" spans="1:4">
      <c r="A3" s="4" t="s">
        <v>29</v>
      </c>
      <c r="B3" s="5"/>
      <c r="C3" s="5"/>
      <c r="D3" s="6"/>
    </row>
    <row r="4" spans="1:4">
      <c r="A4" s="4" t="s">
        <v>45</v>
      </c>
      <c r="B4" s="5"/>
      <c r="C4" s="5"/>
      <c r="D4" s="6"/>
    </row>
    <row r="5" spans="1:4" ht="8.25" customHeight="1">
      <c r="A5" s="4"/>
      <c r="B5" s="5"/>
      <c r="C5" s="5"/>
      <c r="D5" s="6"/>
    </row>
    <row r="6" spans="1:4">
      <c r="A6" s="4" t="s">
        <v>18</v>
      </c>
      <c r="B6" s="5"/>
      <c r="C6" s="5"/>
      <c r="D6" s="6"/>
    </row>
    <row r="7" spans="1:4">
      <c r="A7" s="4"/>
      <c r="B7" s="5"/>
      <c r="C7" s="5"/>
      <c r="D7" s="6"/>
    </row>
    <row r="8" spans="1:4">
      <c r="A8" s="8" t="s">
        <v>13</v>
      </c>
      <c r="B8" s="5"/>
      <c r="C8" s="5"/>
      <c r="D8" s="6"/>
    </row>
    <row r="9" spans="1:4">
      <c r="A9" s="7" t="s">
        <v>16</v>
      </c>
      <c r="B9" s="5"/>
      <c r="C9" s="5"/>
      <c r="D9" s="6"/>
    </row>
    <row r="10" spans="1:4">
      <c r="A10" s="7" t="s">
        <v>17</v>
      </c>
      <c r="B10" s="5"/>
      <c r="C10" s="5"/>
      <c r="D10" s="6"/>
    </row>
    <row r="11" spans="1:4">
      <c r="A11" s="4"/>
      <c r="B11" s="5"/>
      <c r="C11" s="5"/>
      <c r="D11" s="6"/>
    </row>
    <row r="12" spans="1:4">
      <c r="A12" s="7"/>
      <c r="B12" s="9"/>
      <c r="C12" s="5"/>
      <c r="D12" s="6"/>
    </row>
    <row r="13" spans="1:4" ht="15.75">
      <c r="A13" s="10" t="s">
        <v>0</v>
      </c>
      <c r="B13" s="5"/>
      <c r="C13" s="5"/>
    </row>
    <row r="14" spans="1:4">
      <c r="A14" s="5" t="s">
        <v>67</v>
      </c>
      <c r="B14" s="41">
        <v>189600</v>
      </c>
      <c r="C14" s="12" t="s">
        <v>66</v>
      </c>
    </row>
    <row r="15" spans="1:4">
      <c r="A15" s="5" t="s">
        <v>1</v>
      </c>
      <c r="B15" s="28">
        <v>12</v>
      </c>
      <c r="C15" s="5"/>
    </row>
    <row r="16" spans="1:4" ht="15.75" thickBot="1">
      <c r="A16" s="5" t="s">
        <v>2</v>
      </c>
      <c r="B16" s="13">
        <f>B14/12</f>
        <v>15800</v>
      </c>
      <c r="C16" s="5"/>
    </row>
    <row r="17" spans="1:7" ht="15.75" thickTop="1">
      <c r="A17" s="5"/>
      <c r="B17" s="14"/>
      <c r="C17" s="5"/>
    </row>
    <row r="18" spans="1:7">
      <c r="A18" s="5" t="s">
        <v>3</v>
      </c>
      <c r="B18" s="44">
        <v>145000</v>
      </c>
      <c r="C18" s="5" t="s">
        <v>4</v>
      </c>
    </row>
    <row r="19" spans="1:7">
      <c r="A19" s="5" t="s">
        <v>5</v>
      </c>
      <c r="B19" s="45">
        <v>9</v>
      </c>
      <c r="C19" s="5" t="s">
        <v>6</v>
      </c>
    </row>
    <row r="20" spans="1:7" ht="15.75" thickBot="1">
      <c r="A20" s="5" t="s">
        <v>7</v>
      </c>
      <c r="B20" s="15">
        <f>B18/B19</f>
        <v>16111.111111111111</v>
      </c>
      <c r="C20" s="5"/>
    </row>
    <row r="21" spans="1:7" ht="15.75" thickTop="1">
      <c r="A21" s="5"/>
      <c r="B21" s="16"/>
      <c r="C21" s="5"/>
    </row>
    <row r="22" spans="1:7">
      <c r="A22" s="17"/>
      <c r="B22" s="16"/>
      <c r="C22" s="5"/>
    </row>
    <row r="23" spans="1:7">
      <c r="A23" s="17"/>
      <c r="B23" s="16"/>
      <c r="C23" s="5"/>
    </row>
    <row r="24" spans="1:7">
      <c r="A24" s="5"/>
      <c r="B24" s="16"/>
      <c r="C24" s="5"/>
    </row>
    <row r="25" spans="1:7" ht="15.75">
      <c r="A25" s="10" t="s">
        <v>8</v>
      </c>
      <c r="B25" s="16"/>
      <c r="C25" s="5"/>
    </row>
    <row r="26" spans="1:7">
      <c r="A26" s="5" t="s">
        <v>61</v>
      </c>
      <c r="B26" s="47">
        <v>0.05</v>
      </c>
      <c r="C26" s="5" t="s">
        <v>20</v>
      </c>
    </row>
    <row r="27" spans="1:7">
      <c r="A27" s="5" t="s">
        <v>62</v>
      </c>
      <c r="B27" s="47">
        <v>0.15</v>
      </c>
      <c r="C27" s="5" t="s">
        <v>19</v>
      </c>
    </row>
    <row r="28" spans="1:7" ht="15.75" thickBot="1">
      <c r="A28" s="5" t="s">
        <v>60</v>
      </c>
      <c r="B28" s="29">
        <f>+B26+B27</f>
        <v>0.2</v>
      </c>
      <c r="F28" s="25"/>
      <c r="G28" s="24"/>
    </row>
    <row r="29" spans="1:7" ht="15.75" thickTop="1">
      <c r="A29" s="5"/>
      <c r="B29" s="18"/>
      <c r="C29" s="5"/>
      <c r="F29" s="24"/>
      <c r="G29" s="24"/>
    </row>
    <row r="30" spans="1:7">
      <c r="A30" s="5"/>
      <c r="B30" s="19"/>
      <c r="C30" s="5"/>
      <c r="F30" s="24"/>
      <c r="G30" s="24"/>
    </row>
    <row r="31" spans="1:7">
      <c r="A31" s="55" t="s">
        <v>58</v>
      </c>
      <c r="B31" s="56"/>
      <c r="C31" s="57"/>
      <c r="F31" s="24"/>
      <c r="G31" s="24"/>
    </row>
    <row r="32" spans="1:7">
      <c r="A32" s="34" t="s">
        <v>48</v>
      </c>
      <c r="B32" s="33">
        <f>IF($B$19=12,IF($B$20&gt;$B$16,$B$16*$B$26,$B$20*$B$26),0)</f>
        <v>0</v>
      </c>
      <c r="C32" s="35"/>
      <c r="F32" s="24"/>
      <c r="G32" s="24"/>
    </row>
    <row r="33" spans="1:7">
      <c r="A33" s="34" t="s">
        <v>49</v>
      </c>
      <c r="B33" s="33">
        <f>IF($B$19=12,IF($B$20&gt;$B$16,$B$20*$B$26,$B$20*$B$26),0)</f>
        <v>0</v>
      </c>
      <c r="C33" s="35"/>
      <c r="F33" s="24"/>
      <c r="G33" s="24"/>
    </row>
    <row r="34" spans="1:7" ht="15.75" thickBot="1">
      <c r="A34" s="34" t="s">
        <v>10</v>
      </c>
      <c r="B34" s="13">
        <f>B33-B32</f>
        <v>0</v>
      </c>
      <c r="C34" s="35"/>
      <c r="F34" s="24"/>
      <c r="G34" s="24"/>
    </row>
    <row r="35" spans="1:7" ht="15.75" thickTop="1">
      <c r="A35" s="34"/>
      <c r="B35" s="33"/>
      <c r="C35" s="35"/>
      <c r="F35" s="24"/>
      <c r="G35" s="24"/>
    </row>
    <row r="36" spans="1:7">
      <c r="A36" s="34"/>
      <c r="B36" s="36"/>
      <c r="C36" s="37" t="s">
        <v>12</v>
      </c>
      <c r="F36" s="24"/>
      <c r="G36" s="24"/>
    </row>
    <row r="37" spans="1:7">
      <c r="A37" s="34" t="s">
        <v>14</v>
      </c>
      <c r="B37" s="33">
        <f>IF($B$19=12,IF($B$20&gt;$B$16,$B$16*$B$26,$B$20*$B$26),0)</f>
        <v>0</v>
      </c>
      <c r="C37" s="38">
        <f>B37/$B$20</f>
        <v>0</v>
      </c>
      <c r="F37" s="24"/>
      <c r="G37" s="27"/>
    </row>
    <row r="38" spans="1:7">
      <c r="A38" s="34" t="s">
        <v>44</v>
      </c>
      <c r="B38" s="33">
        <f>IF($B$19=12,($B$20*$B$27),0)</f>
        <v>0</v>
      </c>
      <c r="C38" s="38">
        <f>B38/$B$20</f>
        <v>0</v>
      </c>
      <c r="F38" s="24"/>
      <c r="G38" s="26"/>
    </row>
    <row r="39" spans="1:7">
      <c r="A39" s="34" t="s">
        <v>43</v>
      </c>
      <c r="B39" s="33">
        <f>+B34</f>
        <v>0</v>
      </c>
      <c r="C39" s="38">
        <f>B39/$B$20</f>
        <v>0</v>
      </c>
      <c r="F39" s="24"/>
      <c r="G39" s="26"/>
    </row>
    <row r="40" spans="1:7" ht="15.75" thickBot="1">
      <c r="A40" s="34" t="s">
        <v>15</v>
      </c>
      <c r="B40" s="13">
        <f>SUM(B37:B39)</f>
        <v>0</v>
      </c>
      <c r="C40" s="38">
        <f>B40/$B$20</f>
        <v>0</v>
      </c>
      <c r="F40" s="24"/>
      <c r="G40" s="26"/>
    </row>
    <row r="41" spans="1:7" ht="15.75" thickTop="1">
      <c r="A41" s="39"/>
      <c r="B41" s="53"/>
      <c r="C41" s="54"/>
      <c r="D41" s="22" t="s">
        <v>11</v>
      </c>
      <c r="F41" s="24"/>
      <c r="G41" s="26"/>
    </row>
    <row r="44" spans="1:7">
      <c r="A44" s="55" t="s">
        <v>59</v>
      </c>
      <c r="B44" s="56"/>
      <c r="C44" s="57"/>
    </row>
    <row r="45" spans="1:7">
      <c r="A45" s="34" t="s">
        <v>48</v>
      </c>
      <c r="B45" s="33">
        <f>IF($B$19=9,IF($B$20&gt;$B$16,$B$16*$B$26,$B$20*$B$26),0)</f>
        <v>790</v>
      </c>
      <c r="C45" s="35"/>
    </row>
    <row r="46" spans="1:7">
      <c r="A46" s="34" t="s">
        <v>49</v>
      </c>
      <c r="B46" s="33">
        <f>IF($B$19=9,IF($B$20&gt;$B$16,$B$20*$B$26,$B$20*$B$26),0)</f>
        <v>805.55555555555566</v>
      </c>
      <c r="C46" s="35"/>
    </row>
    <row r="47" spans="1:7" ht="15.75" thickBot="1">
      <c r="A47" s="34" t="s">
        <v>10</v>
      </c>
      <c r="B47" s="13">
        <f>B46-B45</f>
        <v>15.555555555555657</v>
      </c>
      <c r="C47" s="35"/>
    </row>
    <row r="48" spans="1:7" ht="15.75" thickTop="1">
      <c r="A48" s="34"/>
      <c r="B48" s="33"/>
      <c r="C48" s="35"/>
    </row>
    <row r="49" spans="1:3">
      <c r="A49" s="34"/>
      <c r="B49" s="36"/>
      <c r="C49" s="37" t="s">
        <v>12</v>
      </c>
    </row>
    <row r="50" spans="1:3">
      <c r="A50" s="34" t="s">
        <v>14</v>
      </c>
      <c r="B50" s="33">
        <f>IF($B$19=9,IF($B$20&gt;$B$16,$B$16*$B$26,$B$20*$B$26),0)</f>
        <v>790</v>
      </c>
      <c r="C50" s="38">
        <f>B50/$B$20</f>
        <v>4.9034482758620691E-2</v>
      </c>
    </row>
    <row r="51" spans="1:3">
      <c r="A51" s="34" t="s">
        <v>44</v>
      </c>
      <c r="B51" s="33">
        <f>IF($B$19=9,($B$20*$B$27),0)</f>
        <v>2416.6666666666665</v>
      </c>
      <c r="C51" s="38">
        <f>B51/$B$20</f>
        <v>0.15</v>
      </c>
    </row>
    <row r="52" spans="1:3">
      <c r="A52" s="34" t="s">
        <v>43</v>
      </c>
      <c r="B52" s="33">
        <f>+B47</f>
        <v>15.555555555555657</v>
      </c>
      <c r="C52" s="38">
        <f>B52/$B$20</f>
        <v>9.6551724137931665E-4</v>
      </c>
    </row>
    <row r="53" spans="1:3" ht="15.75" thickBot="1">
      <c r="A53" s="39" t="s">
        <v>15</v>
      </c>
      <c r="B53" s="13">
        <f>SUM(B50:B52)</f>
        <v>3222.2222222222222</v>
      </c>
      <c r="C53" s="40">
        <f>B53/$B$20</f>
        <v>0.19999999999999998</v>
      </c>
    </row>
    <row r="54" spans="1:3" ht="15.75" thickTop="1"/>
  </sheetData>
  <sheetProtection selectLockedCells="1"/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topLeftCell="A2" workbookViewId="0">
      <selection activeCell="B18" sqref="B18"/>
    </sheetView>
  </sheetViews>
  <sheetFormatPr defaultRowHeight="15"/>
  <cols>
    <col min="1" max="1" width="66.5703125" customWidth="1"/>
    <col min="2" max="2" width="12" bestFit="1" customWidth="1"/>
    <col min="3" max="3" width="17.5703125" customWidth="1"/>
  </cols>
  <sheetData>
    <row r="1" spans="1:4" ht="21">
      <c r="A1" s="1" t="s">
        <v>30</v>
      </c>
      <c r="B1" s="2"/>
      <c r="C1" s="2"/>
      <c r="D1" s="3"/>
    </row>
    <row r="2" spans="1:4" ht="21">
      <c r="A2" s="58" t="s">
        <v>65</v>
      </c>
      <c r="B2" s="2"/>
      <c r="C2" s="2"/>
      <c r="D2" s="3"/>
    </row>
    <row r="3" spans="1:4">
      <c r="A3" s="4" t="s">
        <v>27</v>
      </c>
      <c r="B3" s="5"/>
      <c r="C3" s="5"/>
      <c r="D3" s="6"/>
    </row>
    <row r="4" spans="1:4">
      <c r="A4" s="4" t="s">
        <v>18</v>
      </c>
      <c r="B4" s="5"/>
      <c r="C4" s="5"/>
      <c r="D4" s="6"/>
    </row>
    <row r="5" spans="1:4">
      <c r="A5" s="4"/>
      <c r="B5" s="5"/>
      <c r="C5" s="5"/>
      <c r="D5" s="6"/>
    </row>
    <row r="6" spans="1:4">
      <c r="A6" s="8" t="s">
        <v>13</v>
      </c>
      <c r="B6" s="5"/>
      <c r="C6" s="5"/>
      <c r="D6" s="6"/>
    </row>
    <row r="7" spans="1:4">
      <c r="A7" s="7"/>
      <c r="B7" s="5"/>
      <c r="C7" s="5"/>
      <c r="D7" s="6"/>
    </row>
    <row r="8" spans="1:4">
      <c r="A8" s="7"/>
      <c r="B8" s="5"/>
      <c r="C8" s="5"/>
      <c r="D8" s="6"/>
    </row>
    <row r="9" spans="1:4">
      <c r="A9" s="4"/>
      <c r="B9" s="5"/>
      <c r="C9" s="5"/>
      <c r="D9" s="6"/>
    </row>
    <row r="10" spans="1:4">
      <c r="A10" s="7"/>
      <c r="B10" s="9"/>
      <c r="C10" s="5"/>
      <c r="D10" s="6"/>
    </row>
    <row r="11" spans="1:4" ht="15.75">
      <c r="A11" s="10" t="s">
        <v>0</v>
      </c>
      <c r="B11" s="5"/>
      <c r="C11" s="5"/>
    </row>
    <row r="12" spans="1:4">
      <c r="A12" s="5" t="s">
        <v>67</v>
      </c>
      <c r="B12" s="41">
        <v>228000</v>
      </c>
      <c r="C12" s="12" t="s">
        <v>68</v>
      </c>
    </row>
    <row r="13" spans="1:4">
      <c r="A13" s="5" t="s">
        <v>1</v>
      </c>
      <c r="B13" s="28">
        <v>12</v>
      </c>
      <c r="C13" s="5"/>
    </row>
    <row r="14" spans="1:4" ht="15.75" thickBot="1">
      <c r="A14" s="5" t="s">
        <v>2</v>
      </c>
      <c r="B14" s="13">
        <f>B12/12</f>
        <v>19000</v>
      </c>
      <c r="C14" s="5"/>
    </row>
    <row r="15" spans="1:4" ht="15.75" thickTop="1">
      <c r="A15" s="5"/>
      <c r="B15" s="33"/>
      <c r="C15" s="5"/>
    </row>
    <row r="16" spans="1:4" ht="15.75" thickBot="1">
      <c r="A16" s="5" t="s">
        <v>38</v>
      </c>
      <c r="B16" s="13">
        <f>+B14*0.5</f>
        <v>9500</v>
      </c>
      <c r="C16" s="5"/>
    </row>
    <row r="17" spans="1:7" ht="15.75" thickTop="1">
      <c r="A17" s="5"/>
      <c r="B17" s="14"/>
      <c r="C17" s="5"/>
    </row>
    <row r="18" spans="1:7" ht="15.75" thickBot="1">
      <c r="A18" s="5" t="s">
        <v>63</v>
      </c>
      <c r="B18" s="48">
        <v>12777.78</v>
      </c>
      <c r="C18" s="5"/>
    </row>
    <row r="19" spans="1:7" ht="15.75" thickTop="1">
      <c r="A19" s="5"/>
      <c r="B19" s="16"/>
      <c r="C19" s="5"/>
    </row>
    <row r="20" spans="1:7">
      <c r="A20" s="17"/>
      <c r="B20" s="16"/>
      <c r="C20" s="5"/>
    </row>
    <row r="21" spans="1:7">
      <c r="A21" s="5"/>
      <c r="B21" s="16"/>
      <c r="C21" s="5"/>
    </row>
    <row r="22" spans="1:7" ht="15.75">
      <c r="A22" s="10" t="s">
        <v>8</v>
      </c>
      <c r="B22" s="16"/>
      <c r="C22" s="5"/>
    </row>
    <row r="23" spans="1:7">
      <c r="A23" s="5" t="s">
        <v>31</v>
      </c>
      <c r="B23" s="49">
        <f>+B26/B18</f>
        <v>7.5459117311457852E-2</v>
      </c>
      <c r="C23" s="5"/>
      <c r="F23" s="25"/>
      <c r="G23" s="24"/>
    </row>
    <row r="24" spans="1:7">
      <c r="A24" s="5"/>
      <c r="B24" s="31"/>
      <c r="C24" s="5"/>
      <c r="F24" s="25"/>
      <c r="G24" s="24"/>
    </row>
    <row r="25" spans="1:7">
      <c r="A25" s="5"/>
      <c r="B25" s="19"/>
      <c r="C25" s="5"/>
      <c r="F25" s="24"/>
      <c r="G25" s="24"/>
    </row>
    <row r="26" spans="1:7">
      <c r="A26" s="5" t="s">
        <v>32</v>
      </c>
      <c r="B26" s="44">
        <v>964.2</v>
      </c>
      <c r="C26" s="5"/>
      <c r="F26" s="24"/>
      <c r="G26" s="24"/>
    </row>
    <row r="27" spans="1:7">
      <c r="A27" s="5" t="s">
        <v>50</v>
      </c>
      <c r="B27" s="11">
        <f>+$B$23*$B$16</f>
        <v>716.86161445884954</v>
      </c>
      <c r="C27" s="32"/>
      <c r="F27" s="24"/>
      <c r="G27" s="24"/>
    </row>
    <row r="28" spans="1:7" ht="15.75" thickBot="1">
      <c r="A28" s="5" t="s">
        <v>10</v>
      </c>
      <c r="B28" s="13">
        <f>B26-B27</f>
        <v>247.3383855411505</v>
      </c>
      <c r="C28" s="32"/>
      <c r="F28" s="24"/>
      <c r="G28" s="24"/>
    </row>
    <row r="29" spans="1:7" ht="15.75" thickTop="1">
      <c r="A29" s="5"/>
      <c r="B29" s="11"/>
      <c r="C29" s="5"/>
      <c r="F29" s="24"/>
      <c r="G29" s="24"/>
    </row>
    <row r="30" spans="1:7">
      <c r="A30" s="5"/>
      <c r="B30" s="23"/>
      <c r="C30" s="20" t="s">
        <v>33</v>
      </c>
      <c r="F30" s="24"/>
      <c r="G30" s="24"/>
    </row>
    <row r="31" spans="1:7">
      <c r="A31" s="5" t="s">
        <v>14</v>
      </c>
      <c r="B31" s="11">
        <f>+B27</f>
        <v>716.86161445884954</v>
      </c>
      <c r="C31" s="21">
        <f>B31/B18</f>
        <v>5.6102203548570213E-2</v>
      </c>
      <c r="F31" s="24"/>
      <c r="G31" s="27"/>
    </row>
    <row r="32" spans="1:7">
      <c r="A32" s="5" t="s">
        <v>21</v>
      </c>
      <c r="B32" s="11">
        <f>+B28</f>
        <v>247.3383855411505</v>
      </c>
      <c r="C32" s="21">
        <f>B32/B18</f>
        <v>1.9356913762887645E-2</v>
      </c>
      <c r="F32" s="24"/>
      <c r="G32" s="26"/>
    </row>
    <row r="33" spans="1:7" ht="15.75" thickBot="1">
      <c r="A33" s="5" t="s">
        <v>15</v>
      </c>
      <c r="B33" s="13">
        <f>SUM(B31:B32)</f>
        <v>964.2</v>
      </c>
      <c r="C33" s="21">
        <f>B33/B18</f>
        <v>7.5459117311457852E-2</v>
      </c>
      <c r="F33" s="24"/>
      <c r="G33" s="26"/>
    </row>
    <row r="34" spans="1:7" ht="15.75" thickTop="1">
      <c r="A34" s="5"/>
      <c r="B34" s="5"/>
      <c r="C34" s="5"/>
      <c r="D34" s="22" t="s">
        <v>11</v>
      </c>
      <c r="F34" s="24"/>
      <c r="G34" s="26"/>
    </row>
  </sheetData>
  <sheetProtection algorithmName="SHA-512" hashValue="NKoj+kB0W7e9R7Rm3oX/KXQ3IznMULdOBnlNBT/JGbb23RZ/OEWM1jXLjPT0FtQf9sHzDZ+zuhhjohZe5BFnjA==" saltValue="bFt9Y3433YnDaU1GAgdsdQ==" spinCount="100000" sheet="1" selectLockedCells="1"/>
  <pageMargins left="0.7" right="0.7" top="0.75" bottom="0.75" header="0.3" footer="0.3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2"/>
  <sheetViews>
    <sheetView workbookViewId="0">
      <selection activeCell="B24" sqref="B24"/>
    </sheetView>
  </sheetViews>
  <sheetFormatPr defaultRowHeight="15"/>
  <cols>
    <col min="1" max="1" width="66.5703125" customWidth="1"/>
    <col min="2" max="2" width="12" bestFit="1" customWidth="1"/>
    <col min="3" max="3" width="17.5703125" customWidth="1"/>
  </cols>
  <sheetData>
    <row r="1" spans="1:4" ht="21">
      <c r="A1" s="1" t="s">
        <v>30</v>
      </c>
      <c r="B1" s="2"/>
      <c r="C1" s="2"/>
      <c r="D1" s="3"/>
    </row>
    <row r="2" spans="1:4" ht="21">
      <c r="A2" s="58" t="s">
        <v>64</v>
      </c>
      <c r="B2" s="2"/>
      <c r="C2" s="2"/>
      <c r="D2" s="3"/>
    </row>
    <row r="3" spans="1:4">
      <c r="A3" s="4" t="s">
        <v>27</v>
      </c>
      <c r="B3" s="5"/>
      <c r="C3" s="5"/>
      <c r="D3" s="6"/>
    </row>
    <row r="4" spans="1:4">
      <c r="A4" s="4" t="s">
        <v>18</v>
      </c>
      <c r="B4" s="5"/>
      <c r="C4" s="5"/>
      <c r="D4" s="6"/>
    </row>
    <row r="5" spans="1:4">
      <c r="A5" s="4"/>
      <c r="B5" s="5"/>
      <c r="C5" s="5"/>
      <c r="D5" s="6"/>
    </row>
    <row r="6" spans="1:4">
      <c r="A6" s="8" t="s">
        <v>13</v>
      </c>
      <c r="B6" s="5"/>
      <c r="C6" s="5"/>
      <c r="D6" s="6"/>
    </row>
    <row r="7" spans="1:4">
      <c r="A7" s="7"/>
      <c r="B7" s="5"/>
      <c r="C7" s="5"/>
      <c r="D7" s="6"/>
    </row>
    <row r="8" spans="1:4">
      <c r="A8" s="7"/>
      <c r="B8" s="5"/>
      <c r="C8" s="5"/>
      <c r="D8" s="6"/>
    </row>
    <row r="9" spans="1:4">
      <c r="A9" s="4"/>
      <c r="B9" s="5"/>
      <c r="C9" s="5"/>
      <c r="D9" s="6"/>
    </row>
    <row r="10" spans="1:4">
      <c r="A10" s="7"/>
      <c r="B10" s="9"/>
      <c r="C10" s="5"/>
      <c r="D10" s="6"/>
    </row>
    <row r="11" spans="1:4" ht="15.75">
      <c r="A11" s="10" t="s">
        <v>0</v>
      </c>
      <c r="B11" s="5"/>
      <c r="C11" s="5"/>
    </row>
    <row r="12" spans="1:4">
      <c r="A12" s="5" t="s">
        <v>67</v>
      </c>
      <c r="B12" s="41">
        <v>228000</v>
      </c>
      <c r="C12" s="12" t="s">
        <v>68</v>
      </c>
    </row>
    <row r="13" spans="1:4">
      <c r="A13" s="5" t="s">
        <v>1</v>
      </c>
      <c r="B13" s="28">
        <v>12</v>
      </c>
      <c r="C13" s="5"/>
    </row>
    <row r="14" spans="1:4" ht="15.75" thickBot="1">
      <c r="A14" s="5" t="s">
        <v>2</v>
      </c>
      <c r="B14" s="13">
        <f>B12/12</f>
        <v>19000</v>
      </c>
      <c r="C14" s="5"/>
    </row>
    <row r="15" spans="1:4" ht="15.75" thickTop="1">
      <c r="A15" s="5"/>
      <c r="B15" s="14"/>
      <c r="C15" s="5"/>
    </row>
    <row r="16" spans="1:4" ht="15.75" thickBot="1">
      <c r="A16" s="5" t="s">
        <v>34</v>
      </c>
      <c r="B16" s="48">
        <v>19166.669999999998</v>
      </c>
      <c r="C16" s="5"/>
    </row>
    <row r="17" spans="1:7" ht="15.75" thickTop="1">
      <c r="A17" s="5"/>
      <c r="B17" s="16"/>
      <c r="C17" s="5"/>
    </row>
    <row r="18" spans="1:7">
      <c r="A18" s="17"/>
      <c r="B18" s="16"/>
      <c r="C18" s="5"/>
    </row>
    <row r="19" spans="1:7">
      <c r="A19" s="5"/>
      <c r="B19" s="16"/>
      <c r="C19" s="5"/>
    </row>
    <row r="20" spans="1:7" ht="15.75">
      <c r="A20" s="10" t="s">
        <v>8</v>
      </c>
      <c r="B20" s="16"/>
      <c r="C20" s="5"/>
    </row>
    <row r="21" spans="1:7">
      <c r="A21" s="5" t="s">
        <v>31</v>
      </c>
      <c r="B21" s="49">
        <f>+B24/B16</f>
        <v>5.0306078207638577E-2</v>
      </c>
      <c r="C21" s="5"/>
      <c r="F21" s="25"/>
      <c r="G21" s="24"/>
    </row>
    <row r="22" spans="1:7">
      <c r="A22" s="5"/>
      <c r="B22" s="31"/>
      <c r="C22" s="5"/>
      <c r="F22" s="25"/>
      <c r="G22" s="24"/>
    </row>
    <row r="23" spans="1:7">
      <c r="A23" s="5"/>
      <c r="B23" s="19"/>
      <c r="C23" s="5"/>
      <c r="F23" s="24"/>
      <c r="G23" s="24"/>
    </row>
    <row r="24" spans="1:7">
      <c r="A24" s="5" t="s">
        <v>32</v>
      </c>
      <c r="B24" s="44">
        <v>964.2</v>
      </c>
      <c r="C24" s="5"/>
      <c r="F24" s="24"/>
      <c r="G24" s="24"/>
    </row>
    <row r="25" spans="1:7">
      <c r="A25" s="5" t="s">
        <v>46</v>
      </c>
      <c r="B25" s="11">
        <f>+$B$21*$B$14</f>
        <v>955.81548594513299</v>
      </c>
      <c r="C25" s="32"/>
      <c r="F25" s="24"/>
      <c r="G25" s="24"/>
    </row>
    <row r="26" spans="1:7" ht="15.75" thickBot="1">
      <c r="A26" s="5" t="s">
        <v>10</v>
      </c>
      <c r="B26" s="13">
        <f>B24-B25</f>
        <v>8.3845140548670543</v>
      </c>
      <c r="C26" s="32"/>
      <c r="F26" s="24"/>
      <c r="G26" s="24"/>
    </row>
    <row r="27" spans="1:7" ht="15.75" thickTop="1">
      <c r="A27" s="5"/>
      <c r="B27" s="11"/>
      <c r="C27" s="5"/>
      <c r="F27" s="24"/>
      <c r="G27" s="24"/>
    </row>
    <row r="28" spans="1:7">
      <c r="A28" s="5"/>
      <c r="B28" s="23"/>
      <c r="C28" s="20" t="s">
        <v>33</v>
      </c>
      <c r="F28" s="24"/>
      <c r="G28" s="24"/>
    </row>
    <row r="29" spans="1:7">
      <c r="A29" s="5" t="s">
        <v>14</v>
      </c>
      <c r="B29" s="11">
        <f>+B25</f>
        <v>955.81548594513299</v>
      </c>
      <c r="C29" s="21">
        <f>B29/B16</f>
        <v>4.9868625376506881E-2</v>
      </c>
      <c r="F29" s="24"/>
      <c r="G29" s="27"/>
    </row>
    <row r="30" spans="1:7">
      <c r="A30" s="5" t="s">
        <v>21</v>
      </c>
      <c r="B30" s="11">
        <f>+B26</f>
        <v>8.3845140548670543</v>
      </c>
      <c r="C30" s="21">
        <f>B30/B16</f>
        <v>4.3745283113170183E-4</v>
      </c>
      <c r="F30" s="24"/>
      <c r="G30" s="26"/>
    </row>
    <row r="31" spans="1:7" ht="15.75" thickBot="1">
      <c r="A31" s="5" t="s">
        <v>15</v>
      </c>
      <c r="B31" s="13">
        <f>SUM(B29:B30)</f>
        <v>964.2</v>
      </c>
      <c r="C31" s="21">
        <f>B31/B16</f>
        <v>5.0306078207638577E-2</v>
      </c>
      <c r="F31" s="24"/>
      <c r="G31" s="26"/>
    </row>
    <row r="32" spans="1:7" ht="15.75" thickTop="1">
      <c r="A32" s="5"/>
      <c r="B32" s="5"/>
      <c r="C32" s="5"/>
      <c r="D32" s="22" t="s">
        <v>11</v>
      </c>
      <c r="F32" s="24"/>
      <c r="G32" s="26"/>
    </row>
  </sheetData>
  <sheetProtection algorithmName="SHA-512" hashValue="iFDl3re8x1BsoFZE7bTdcghafwDbp5VGqUsx9IznxRPKztqCTY/R2N2NVYX68tmuWa1dsgLLqcBTOJ/iEPQa1g==" saltValue="kgJsridOii35bAnJoHLz9g==" spinCount="100000" sheet="1" selectLockedCells="1"/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4A22-1F64-4FFA-A3D8-917D64D859C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Salary Cap calc 12 mo </vt:lpstr>
      <vt:lpstr>Salary Cap calc 9 mo</vt:lpstr>
      <vt:lpstr>Summer salary cap</vt:lpstr>
      <vt:lpstr>Salary Cap calc w mandatory CS</vt:lpstr>
      <vt:lpstr>Salary cap - AMT PAID-9 mo</vt:lpstr>
      <vt:lpstr>Salary cap - AMT PAID-12 mo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issadmin</dc:creator>
  <cp:lastModifiedBy>Tony Ventimiglia</cp:lastModifiedBy>
  <cp:lastPrinted>2017-06-22T13:00:51Z</cp:lastPrinted>
  <dcterms:created xsi:type="dcterms:W3CDTF">2017-06-08T13:57:19Z</dcterms:created>
  <dcterms:modified xsi:type="dcterms:W3CDTF">2026-01-24T18:28:39Z</dcterms:modified>
</cp:coreProperties>
</file>